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dgov-my.sharepoint.com/personal/nlund_nd_gov/Documents/State Info/Hangar Grant Program/"/>
    </mc:Choice>
  </mc:AlternateContent>
  <xr:revisionPtr revIDLastSave="472" documentId="8_{93CEB86B-C2A2-4D54-BDDB-B09B3B0B0303}" xr6:coauthVersionLast="46" xr6:coauthVersionMax="46" xr10:uidLastSave="{BDBE7210-A2A5-4F8E-9082-811F33832AF8}"/>
  <bookViews>
    <workbookView xWindow="-120" yWindow="-120" windowWidth="29040" windowHeight="17640" xr2:uid="{6712F33C-4D8C-4969-AB93-556012F0EA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C29" i="1" s="1"/>
  <c r="H29" i="1"/>
  <c r="C35" i="1"/>
  <c r="B35" i="1" s="1"/>
  <c r="C34" i="1"/>
  <c r="B34" i="1" s="1"/>
  <c r="C33" i="1"/>
  <c r="B33" i="1" s="1"/>
  <c r="C32" i="1"/>
  <c r="B32" i="1" s="1"/>
  <c r="B31" i="1"/>
  <c r="C31" i="1" s="1"/>
  <c r="B22" i="1"/>
  <c r="G58" i="1" s="1"/>
  <c r="G33" i="1" l="1"/>
  <c r="G51" i="1"/>
  <c r="G34" i="1"/>
  <c r="G42" i="1"/>
  <c r="B30" i="1"/>
  <c r="B36" i="1" s="1"/>
  <c r="G35" i="1"/>
  <c r="G43" i="1"/>
  <c r="G52" i="1"/>
  <c r="G53" i="1"/>
  <c r="G39" i="1"/>
  <c r="G29" i="1"/>
  <c r="G44" i="1"/>
  <c r="G49" i="1"/>
  <c r="G37" i="1"/>
  <c r="G45" i="1"/>
  <c r="G54" i="1"/>
  <c r="G47" i="1"/>
  <c r="G36" i="1"/>
  <c r="G30" i="1"/>
  <c r="G38" i="1"/>
  <c r="G46" i="1"/>
  <c r="G55" i="1"/>
  <c r="G56" i="1"/>
  <c r="G57" i="1"/>
  <c r="G31" i="1"/>
  <c r="G32" i="1"/>
  <c r="G40" i="1"/>
  <c r="G48" i="1"/>
  <c r="G41" i="1"/>
  <c r="G50" i="1"/>
  <c r="H30" i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F29" i="1"/>
  <c r="C30" i="1" l="1"/>
  <c r="C36" i="1" s="1"/>
  <c r="G59" i="1"/>
  <c r="H59" i="1"/>
  <c r="I29" i="1"/>
  <c r="F30" i="1"/>
  <c r="F31" i="1" s="1"/>
  <c r="I31" i="1" s="1"/>
  <c r="I30" i="1" l="1"/>
  <c r="F32" i="1"/>
  <c r="I32" i="1" s="1"/>
  <c r="F33" i="1" l="1"/>
  <c r="I33" i="1" s="1"/>
  <c r="F34" i="1" l="1"/>
  <c r="I34" i="1" s="1"/>
  <c r="F35" i="1" l="1"/>
  <c r="I35" i="1" s="1"/>
  <c r="F36" i="1" l="1"/>
  <c r="I36" i="1" s="1"/>
  <c r="F37" i="1" l="1"/>
  <c r="I37" i="1" s="1"/>
  <c r="F38" i="1" l="1"/>
  <c r="I38" i="1" s="1"/>
  <c r="F39" i="1" l="1"/>
  <c r="I39" i="1" s="1"/>
  <c r="F40" i="1" l="1"/>
  <c r="I40" i="1" s="1"/>
  <c r="F41" i="1" l="1"/>
  <c r="I41" i="1" s="1"/>
  <c r="F42" i="1" l="1"/>
  <c r="I42" i="1" s="1"/>
  <c r="F43" i="1" l="1"/>
  <c r="I43" i="1" s="1"/>
  <c r="F44" i="1" l="1"/>
  <c r="I44" i="1" s="1"/>
  <c r="F45" i="1" l="1"/>
  <c r="I45" i="1" s="1"/>
  <c r="F46" i="1" l="1"/>
  <c r="I46" i="1" s="1"/>
  <c r="F47" i="1" l="1"/>
  <c r="I47" i="1" s="1"/>
  <c r="F48" i="1" l="1"/>
  <c r="I48" i="1" s="1"/>
  <c r="F49" i="1" l="1"/>
  <c r="I49" i="1" s="1"/>
  <c r="F50" i="1" l="1"/>
  <c r="I50" i="1" s="1"/>
  <c r="F51" i="1" l="1"/>
  <c r="I51" i="1" s="1"/>
  <c r="F52" i="1" l="1"/>
  <c r="I52" i="1" s="1"/>
  <c r="F53" i="1" l="1"/>
  <c r="I53" i="1" s="1"/>
  <c r="F54" i="1" l="1"/>
  <c r="I54" i="1" s="1"/>
  <c r="F55" i="1" l="1"/>
  <c r="I55" i="1" s="1"/>
  <c r="F56" i="1" l="1"/>
  <c r="I56" i="1" s="1"/>
  <c r="F57" i="1" l="1"/>
  <c r="I57" i="1" s="1"/>
  <c r="F58" i="1" l="1"/>
  <c r="I58" i="1" s="1"/>
  <c r="I59" i="1" s="1"/>
  <c r="F59" i="1" l="1"/>
</calcChain>
</file>

<file path=xl/sharedStrings.xml><?xml version="1.0" encoding="utf-8"?>
<sst xmlns="http://schemas.openxmlformats.org/spreadsheetml/2006/main" count="42" uniqueCount="34">
  <si>
    <t>Hangar Rental Calculator</t>
  </si>
  <si>
    <t>Hangar Cost:</t>
  </si>
  <si>
    <t>Down Payment:</t>
  </si>
  <si>
    <t>Interest Rate:</t>
  </si>
  <si>
    <t>Loan Term:</t>
  </si>
  <si>
    <t>Purchase Information</t>
  </si>
  <si>
    <t>Income</t>
  </si>
  <si>
    <t>Vacancy Rate:</t>
  </si>
  <si>
    <t>Operating Expenses</t>
  </si>
  <si>
    <t>Insurance:</t>
  </si>
  <si>
    <t>Maintenance:</t>
  </si>
  <si>
    <t>Utilities:</t>
  </si>
  <si>
    <t>Other:</t>
  </si>
  <si>
    <t>Loan Amount:</t>
  </si>
  <si>
    <t>Years</t>
  </si>
  <si>
    <t>Annually</t>
  </si>
  <si>
    <t>Rent:</t>
  </si>
  <si>
    <t>Monthly</t>
  </si>
  <si>
    <t>Annual Increase</t>
  </si>
  <si>
    <t>First Year Income and Expenses</t>
  </si>
  <si>
    <t>Income:</t>
  </si>
  <si>
    <t>Mortgage Payment:</t>
  </si>
  <si>
    <t>Vacancy:</t>
  </si>
  <si>
    <t>Annual</t>
  </si>
  <si>
    <t>Breakdown Over Time</t>
  </si>
  <si>
    <t>Year</t>
  </si>
  <si>
    <t>Annual Income</t>
  </si>
  <si>
    <t>Mortgage</t>
  </si>
  <si>
    <t>Expenses</t>
  </si>
  <si>
    <t>Cash Flow</t>
  </si>
  <si>
    <t>Total</t>
  </si>
  <si>
    <t>Cash Flow:</t>
  </si>
  <si>
    <t>State Grant Request:</t>
  </si>
  <si>
    <t xml:space="preserve">Airport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</si>
</sst>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theme="2"/>
      </top>
      <bottom style="thin">
        <color theme="2"/>
      </bottom>
      <diagonal/>
    </border>
    <border>
      <left/>
      <right style="thin">
        <color indexed="64"/>
      </right>
      <top style="thin">
        <color theme="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/>
    <xf numFmtId="44" fontId="0" fillId="0" borderId="0" xfId="0" applyNumberFormat="1" applyAlignment="1"/>
    <xf numFmtId="9" fontId="0" fillId="0" borderId="0" xfId="0" applyNumberFormat="1" applyAlignment="1"/>
    <xf numFmtId="164" fontId="0" fillId="0" borderId="0" xfId="0" applyNumberFormat="1" applyAlignment="1"/>
    <xf numFmtId="44" fontId="0" fillId="0" borderId="0" xfId="0" applyNumberFormat="1" applyFill="1" applyBorder="1" applyAlignment="1"/>
    <xf numFmtId="165" fontId="0" fillId="0" borderId="6" xfId="0" applyNumberFormat="1" applyBorder="1" applyAlignment="1"/>
    <xf numFmtId="0" fontId="0" fillId="0" borderId="2" xfId="0" applyBorder="1" applyAlignment="1"/>
    <xf numFmtId="165" fontId="0" fillId="0" borderId="3" xfId="0" applyNumberFormat="1" applyBorder="1" applyAlignment="1"/>
    <xf numFmtId="0" fontId="0" fillId="0" borderId="5" xfId="0" applyBorder="1" applyAlignment="1"/>
    <xf numFmtId="0" fontId="1" fillId="0" borderId="8" xfId="0" applyFont="1" applyBorder="1" applyAlignment="1"/>
    <xf numFmtId="165" fontId="0" fillId="0" borderId="9" xfId="0" applyNumberFormat="1" applyBorder="1" applyAlignment="1"/>
    <xf numFmtId="44" fontId="0" fillId="0" borderId="2" xfId="0" applyNumberFormat="1" applyFill="1" applyBorder="1" applyAlignment="1"/>
    <xf numFmtId="44" fontId="0" fillId="0" borderId="4" xfId="0" applyNumberFormat="1" applyFill="1" applyBorder="1" applyAlignment="1"/>
    <xf numFmtId="44" fontId="0" fillId="0" borderId="5" xfId="0" applyNumberFormat="1" applyFill="1" applyBorder="1" applyAlignment="1"/>
    <xf numFmtId="44" fontId="0" fillId="0" borderId="7" xfId="0" applyNumberFormat="1" applyFill="1" applyBorder="1" applyAlignment="1"/>
    <xf numFmtId="0" fontId="0" fillId="0" borderId="0" xfId="0" applyAlignment="1">
      <alignment horizontal="left"/>
    </xf>
    <xf numFmtId="44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  <xf numFmtId="0" fontId="0" fillId="0" borderId="0" xfId="0" applyBorder="1" applyAlignment="1"/>
    <xf numFmtId="44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9" fontId="0" fillId="2" borderId="1" xfId="0" applyNumberFormat="1" applyFill="1" applyBorder="1" applyAlignment="1" applyProtection="1">
      <protection locked="0"/>
    </xf>
    <xf numFmtId="0" fontId="0" fillId="0" borderId="0" xfId="0" applyFill="1" applyBorder="1" applyAlignment="1"/>
    <xf numFmtId="44" fontId="0" fillId="0" borderId="8" xfId="0" applyNumberFormat="1" applyBorder="1" applyAlignment="1"/>
    <xf numFmtId="44" fontId="0" fillId="0" borderId="10" xfId="0" applyNumberFormat="1" applyBorder="1" applyAlignment="1"/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165" fontId="0" fillId="0" borderId="12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1" fillId="3" borderId="14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165" fontId="0" fillId="0" borderId="11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11970</xdr:colOff>
      <xdr:row>0</xdr:row>
      <xdr:rowOff>0</xdr:rowOff>
    </xdr:from>
    <xdr:to>
      <xdr:col>5</xdr:col>
      <xdr:colOff>252044</xdr:colOff>
      <xdr:row>4</xdr:row>
      <xdr:rowOff>131374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8570" y="0"/>
          <a:ext cx="735374" cy="731449"/>
        </a:xfrm>
        <a:prstGeom prst="ellipse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5F594-96F0-4869-8750-08886B4D5FD0}">
  <sheetPr codeName="Sheet1"/>
  <dimension ref="A2:J59"/>
  <sheetViews>
    <sheetView showGridLines="0" tabSelected="1" view="pageLayout" zoomScaleNormal="100" zoomScaleSheetLayoutView="118" workbookViewId="0">
      <selection activeCell="B21" sqref="B21"/>
    </sheetView>
  </sheetViews>
  <sheetFormatPr defaultColWidth="9.140625" defaultRowHeight="15" x14ac:dyDescent="0.25"/>
  <cols>
    <col min="1" max="1" width="17.7109375" customWidth="1"/>
    <col min="2" max="2" width="14.7109375" customWidth="1"/>
    <col min="3" max="3" width="13.28515625" customWidth="1"/>
    <col min="4" max="4" width="1.7109375" customWidth="1"/>
    <col min="5" max="5" width="5.140625" customWidth="1"/>
    <col min="6" max="6" width="13.140625" customWidth="1"/>
    <col min="7" max="7" width="11.28515625" customWidth="1"/>
    <col min="8" max="8" width="10.5703125" customWidth="1"/>
    <col min="9" max="9" width="7.5703125" customWidth="1"/>
    <col min="10" max="10" width="6.7109375" customWidth="1"/>
    <col min="11" max="11" width="10.85546875" bestFit="1" customWidth="1"/>
    <col min="12" max="12" width="7.28515625" customWidth="1"/>
  </cols>
  <sheetData>
    <row r="2" spans="1:10" ht="2.85" customHeight="1" x14ac:dyDescent="0.25"/>
    <row r="6" spans="1:10" ht="18" customHeight="1" x14ac:dyDescent="0.25">
      <c r="A6" s="39" t="s">
        <v>0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ht="2.8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5.75" customHeight="1" x14ac:dyDescent="0.25">
      <c r="A8" s="3" t="s">
        <v>33</v>
      </c>
      <c r="B8" s="36"/>
      <c r="C8" s="37"/>
      <c r="D8" s="37"/>
      <c r="E8" s="37"/>
      <c r="F8" s="37"/>
      <c r="G8" s="37"/>
      <c r="H8" s="37"/>
      <c r="I8" s="37"/>
      <c r="J8" s="38"/>
    </row>
    <row r="9" spans="1:10" ht="8.1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2.95" customHeight="1" x14ac:dyDescent="0.25">
      <c r="A10" s="3" t="s">
        <v>5</v>
      </c>
      <c r="B10" s="2"/>
      <c r="C10" s="2"/>
      <c r="D10" s="2"/>
      <c r="E10" s="2"/>
      <c r="F10" s="3" t="s">
        <v>6</v>
      </c>
      <c r="G10" s="2"/>
      <c r="H10" s="2"/>
      <c r="I10" s="35" t="s">
        <v>18</v>
      </c>
      <c r="J10" s="35"/>
    </row>
    <row r="11" spans="1:10" ht="3.6" customHeight="1" x14ac:dyDescent="0.25">
      <c r="A11" s="3"/>
      <c r="B11" s="2"/>
      <c r="C11" s="2"/>
      <c r="D11" s="2"/>
      <c r="E11" s="2"/>
      <c r="F11" s="3"/>
      <c r="G11" s="2"/>
      <c r="H11" s="2"/>
      <c r="I11" s="2"/>
      <c r="J11" s="2"/>
    </row>
    <row r="12" spans="1:10" ht="14.25" customHeight="1" x14ac:dyDescent="0.25">
      <c r="A12" s="2" t="s">
        <v>1</v>
      </c>
      <c r="B12" s="22">
        <v>900000</v>
      </c>
      <c r="C12" s="2"/>
      <c r="D12" s="2"/>
      <c r="E12" s="2"/>
      <c r="F12" s="2" t="s">
        <v>16</v>
      </c>
      <c r="G12" s="22">
        <v>3000</v>
      </c>
      <c r="H12" s="19" t="s">
        <v>17</v>
      </c>
      <c r="I12" s="19"/>
      <c r="J12" s="25">
        <v>0.03</v>
      </c>
    </row>
    <row r="13" spans="1:10" ht="3.6" customHeight="1" x14ac:dyDescent="0.25">
      <c r="A13" s="2"/>
      <c r="B13" s="4"/>
      <c r="C13" s="2"/>
      <c r="D13" s="2"/>
      <c r="E13" s="2"/>
      <c r="F13" s="2"/>
      <c r="G13" s="4"/>
      <c r="H13" s="19"/>
      <c r="I13" s="19"/>
      <c r="J13" s="2"/>
    </row>
    <row r="14" spans="1:10" ht="14.25" customHeight="1" x14ac:dyDescent="0.25">
      <c r="A14" s="2" t="s">
        <v>2</v>
      </c>
      <c r="B14" s="23">
        <v>0.1</v>
      </c>
      <c r="C14" s="2"/>
      <c r="D14" s="2"/>
      <c r="E14" s="2"/>
      <c r="F14" s="2" t="s">
        <v>7</v>
      </c>
      <c r="G14" s="25">
        <v>0.05</v>
      </c>
      <c r="H14" s="20"/>
      <c r="I14" s="20"/>
      <c r="J14" s="2"/>
    </row>
    <row r="15" spans="1:10" ht="3.6" customHeight="1" x14ac:dyDescent="0.25">
      <c r="A15" s="2"/>
      <c r="B15" s="6"/>
      <c r="C15" s="2"/>
      <c r="D15" s="2"/>
      <c r="E15" s="2"/>
      <c r="F15" s="2"/>
      <c r="G15" s="5"/>
      <c r="H15" s="20"/>
      <c r="I15" s="20"/>
      <c r="J15" s="2"/>
    </row>
    <row r="16" spans="1:10" ht="14.25" customHeight="1" x14ac:dyDescent="0.25">
      <c r="A16" s="2" t="s">
        <v>3</v>
      </c>
      <c r="B16" s="23">
        <v>0.02</v>
      </c>
      <c r="C16" s="2"/>
      <c r="D16" s="2"/>
      <c r="E16" s="2"/>
      <c r="F16" s="3" t="s">
        <v>8</v>
      </c>
      <c r="G16" s="2"/>
      <c r="H16" s="18"/>
      <c r="I16" s="18"/>
      <c r="J16" s="2"/>
    </row>
    <row r="17" spans="1:10" ht="3.6" customHeight="1" x14ac:dyDescent="0.25">
      <c r="A17" s="2"/>
      <c r="B17" s="6"/>
      <c r="C17" s="2"/>
      <c r="D17" s="2"/>
      <c r="E17" s="2"/>
      <c r="F17" s="3"/>
      <c r="G17" s="2"/>
      <c r="H17" s="18"/>
      <c r="I17" s="18"/>
      <c r="J17" s="2"/>
    </row>
    <row r="18" spans="1:10" ht="14.25" customHeight="1" x14ac:dyDescent="0.25">
      <c r="A18" s="2" t="s">
        <v>4</v>
      </c>
      <c r="B18" s="24">
        <v>30</v>
      </c>
      <c r="C18" s="19" t="s">
        <v>14</v>
      </c>
      <c r="D18" s="1"/>
      <c r="E18" s="1"/>
      <c r="F18" s="2" t="s">
        <v>9</v>
      </c>
      <c r="G18" s="22">
        <v>1000</v>
      </c>
      <c r="H18" s="19" t="s">
        <v>15</v>
      </c>
      <c r="I18" s="19"/>
      <c r="J18" s="25">
        <v>0.03</v>
      </c>
    </row>
    <row r="19" spans="1:10" ht="3.6" customHeight="1" x14ac:dyDescent="0.25">
      <c r="A19" s="2"/>
      <c r="B19" s="2"/>
      <c r="C19" s="2"/>
      <c r="D19" s="2"/>
      <c r="E19" s="2"/>
      <c r="F19" s="2"/>
      <c r="G19" s="2"/>
      <c r="H19" s="19"/>
      <c r="I19" s="19"/>
      <c r="J19" s="2"/>
    </row>
    <row r="20" spans="1:10" ht="14.25" customHeight="1" x14ac:dyDescent="0.25">
      <c r="A20" s="2" t="s">
        <v>32</v>
      </c>
      <c r="B20" s="22">
        <v>146000</v>
      </c>
      <c r="C20" s="2"/>
      <c r="D20" s="2"/>
      <c r="E20" s="2"/>
      <c r="F20" s="2" t="s">
        <v>10</v>
      </c>
      <c r="G20" s="22">
        <v>1500</v>
      </c>
      <c r="H20" s="19" t="s">
        <v>15</v>
      </c>
      <c r="I20" s="19"/>
      <c r="J20" s="25">
        <v>0.03</v>
      </c>
    </row>
    <row r="21" spans="1:10" ht="3.6" customHeight="1" x14ac:dyDescent="0.25">
      <c r="A21" s="2"/>
      <c r="B21" s="2"/>
      <c r="C21" s="2"/>
      <c r="D21" s="2"/>
      <c r="E21" s="2"/>
      <c r="F21" s="2"/>
      <c r="G21" s="2"/>
      <c r="H21" s="19"/>
      <c r="I21" s="19"/>
      <c r="J21" s="2"/>
    </row>
    <row r="22" spans="1:10" ht="14.25" customHeight="1" x14ac:dyDescent="0.25">
      <c r="A22" s="2" t="s">
        <v>13</v>
      </c>
      <c r="B22" s="22">
        <f>B12-(B14*B12)-B20</f>
        <v>664000</v>
      </c>
      <c r="C22" s="2"/>
      <c r="D22" s="2"/>
      <c r="E22" s="2"/>
      <c r="F22" s="2" t="s">
        <v>11</v>
      </c>
      <c r="G22" s="22">
        <v>750</v>
      </c>
      <c r="H22" s="19" t="s">
        <v>15</v>
      </c>
      <c r="I22" s="19"/>
      <c r="J22" s="25">
        <v>0.03</v>
      </c>
    </row>
    <row r="23" spans="1:10" ht="3.6" customHeight="1" x14ac:dyDescent="0.25">
      <c r="A23" s="2"/>
      <c r="B23" s="2"/>
      <c r="C23" s="2"/>
      <c r="D23" s="2"/>
      <c r="E23" s="2"/>
      <c r="F23" s="2"/>
      <c r="G23" s="2"/>
      <c r="H23" s="19"/>
      <c r="I23" s="19"/>
      <c r="J23" s="2"/>
    </row>
    <row r="24" spans="1:10" ht="14.25" customHeight="1" x14ac:dyDescent="0.25">
      <c r="A24" s="2"/>
      <c r="B24" s="2"/>
      <c r="C24" s="2"/>
      <c r="D24" s="2"/>
      <c r="E24" s="2"/>
      <c r="F24" s="2" t="s">
        <v>12</v>
      </c>
      <c r="G24" s="22">
        <v>1500</v>
      </c>
      <c r="H24" s="19" t="s">
        <v>15</v>
      </c>
      <c r="I24" s="19"/>
      <c r="J24" s="25">
        <v>0.03</v>
      </c>
    </row>
    <row r="25" spans="1:10" ht="8.8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4.25" customHeight="1" x14ac:dyDescent="0.25">
      <c r="A26" s="3" t="s">
        <v>19</v>
      </c>
      <c r="B26" s="2"/>
      <c r="C26" s="2"/>
      <c r="D26" s="2"/>
      <c r="E26" s="3" t="s">
        <v>24</v>
      </c>
      <c r="F26" s="3"/>
      <c r="G26" s="2"/>
      <c r="H26" s="2"/>
      <c r="I26" s="2"/>
      <c r="J26" s="2"/>
    </row>
    <row r="27" spans="1:10" ht="2.8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4.25" customHeight="1" x14ac:dyDescent="0.25">
      <c r="A28" s="2"/>
      <c r="B28" s="30" t="s">
        <v>17</v>
      </c>
      <c r="C28" s="30" t="s">
        <v>23</v>
      </c>
      <c r="D28" s="29"/>
      <c r="E28" s="30" t="s">
        <v>25</v>
      </c>
      <c r="F28" s="30" t="s">
        <v>26</v>
      </c>
      <c r="G28" s="30" t="s">
        <v>27</v>
      </c>
      <c r="H28" s="30" t="s">
        <v>28</v>
      </c>
      <c r="I28" s="40" t="s">
        <v>29</v>
      </c>
      <c r="J28" s="41"/>
    </row>
    <row r="29" spans="1:10" ht="14.25" customHeight="1" x14ac:dyDescent="0.25">
      <c r="A29" s="21" t="s">
        <v>20</v>
      </c>
      <c r="B29" s="14">
        <f>G12</f>
        <v>3000</v>
      </c>
      <c r="C29" s="15">
        <f>B29*12</f>
        <v>36000</v>
      </c>
      <c r="D29" s="7"/>
      <c r="E29" s="9">
        <v>1</v>
      </c>
      <c r="F29" s="10">
        <f>C29-C31</f>
        <v>34200</v>
      </c>
      <c r="G29" s="10">
        <f>IF($B$18&gt;0,-PMT($B$16/12,$B$18*12,$B$22)*12,0)</f>
        <v>29451.279583845222</v>
      </c>
      <c r="H29" s="10">
        <f>SUM(G18,G20,G22,G24)</f>
        <v>4750</v>
      </c>
      <c r="I29" s="42">
        <f>F29-G29-H29</f>
        <v>-1.2795838452220778</v>
      </c>
      <c r="J29" s="43"/>
    </row>
    <row r="30" spans="1:10" ht="14.25" customHeight="1" x14ac:dyDescent="0.25">
      <c r="A30" s="21" t="s">
        <v>21</v>
      </c>
      <c r="B30" s="16">
        <f>-PMT(B16/12,B18*12,B22)</f>
        <v>2454.2732986537685</v>
      </c>
      <c r="C30" s="17">
        <f>B30*12</f>
        <v>29451.279583845222</v>
      </c>
      <c r="D30" s="7"/>
      <c r="E30" s="11">
        <v>2</v>
      </c>
      <c r="F30" s="8">
        <f>F29*(1+$J$12)</f>
        <v>35226</v>
      </c>
      <c r="G30" s="8">
        <f>IF($B$18&gt;1,-PMT($B$16/12,$B$18*12,$B$22)*12,0)</f>
        <v>29451.279583845222</v>
      </c>
      <c r="H30" s="8">
        <f>H29*(1+$J$12)</f>
        <v>4892.5</v>
      </c>
      <c r="I30" s="31">
        <f t="shared" ref="I30:I58" si="0">F30-G30-H30</f>
        <v>882.22041615477792</v>
      </c>
      <c r="J30" s="32"/>
    </row>
    <row r="31" spans="1:10" ht="14.25" customHeight="1" x14ac:dyDescent="0.25">
      <c r="A31" s="21" t="s">
        <v>22</v>
      </c>
      <c r="B31" s="16">
        <f>G12*G14</f>
        <v>150</v>
      </c>
      <c r="C31" s="17">
        <f>B31*12</f>
        <v>1800</v>
      </c>
      <c r="D31" s="7"/>
      <c r="E31" s="11">
        <v>3</v>
      </c>
      <c r="F31" s="8">
        <f>F30*(1+$J$12)</f>
        <v>36282.78</v>
      </c>
      <c r="G31" s="8">
        <f>IF($B$18&gt;2,-PMT($B$16/12,$B$18*12,$B$22)*12,0)</f>
        <v>29451.279583845222</v>
      </c>
      <c r="H31" s="8">
        <f>H30*(1+$J$12)</f>
        <v>5039.2750000000005</v>
      </c>
      <c r="I31" s="31">
        <f t="shared" si="0"/>
        <v>1792.2254161547762</v>
      </c>
      <c r="J31" s="32"/>
    </row>
    <row r="32" spans="1:10" ht="14.25" customHeight="1" x14ac:dyDescent="0.25">
      <c r="A32" s="21" t="s">
        <v>9</v>
      </c>
      <c r="B32" s="16">
        <f>C32/12</f>
        <v>83.333333333333329</v>
      </c>
      <c r="C32" s="17">
        <f>G18</f>
        <v>1000</v>
      </c>
      <c r="D32" s="7"/>
      <c r="E32" s="11">
        <v>4</v>
      </c>
      <c r="F32" s="8">
        <f>F31*(1+$J$12)</f>
        <v>37371.263399999996</v>
      </c>
      <c r="G32" s="8">
        <f>IF($B$18&gt;3,-PMT($B$16/12,$B$18*12,$B$22)*12,0)</f>
        <v>29451.279583845222</v>
      </c>
      <c r="H32" s="8">
        <f t="shared" ref="H32:H58" si="1">H31*(1+$J$12)</f>
        <v>5190.4532500000005</v>
      </c>
      <c r="I32" s="31">
        <f t="shared" si="0"/>
        <v>2729.5305661547736</v>
      </c>
      <c r="J32" s="32"/>
    </row>
    <row r="33" spans="1:10" ht="14.25" customHeight="1" x14ac:dyDescent="0.25">
      <c r="A33" s="21" t="s">
        <v>10</v>
      </c>
      <c r="B33" s="16">
        <f>C33/12</f>
        <v>125</v>
      </c>
      <c r="C33" s="17">
        <f>G20</f>
        <v>1500</v>
      </c>
      <c r="D33" s="7"/>
      <c r="E33" s="11">
        <v>5</v>
      </c>
      <c r="F33" s="8">
        <f t="shared" ref="F33:F58" si="2">F32*(1+$J$12)</f>
        <v>38492.401301999998</v>
      </c>
      <c r="G33" s="8">
        <f>IF($B$18&gt;4,-PMT($B$16/12,$B$18*12,$B$22)*12,0)</f>
        <v>29451.279583845222</v>
      </c>
      <c r="H33" s="8">
        <f t="shared" si="1"/>
        <v>5346.1668475000006</v>
      </c>
      <c r="I33" s="31">
        <f t="shared" si="0"/>
        <v>3694.9548706547757</v>
      </c>
      <c r="J33" s="32"/>
    </row>
    <row r="34" spans="1:10" ht="14.25" customHeight="1" x14ac:dyDescent="0.25">
      <c r="A34" s="21" t="s">
        <v>11</v>
      </c>
      <c r="B34" s="16">
        <f>C34/12</f>
        <v>62.5</v>
      </c>
      <c r="C34" s="17">
        <f>G22</f>
        <v>750</v>
      </c>
      <c r="D34" s="7"/>
      <c r="E34" s="11">
        <v>6</v>
      </c>
      <c r="F34" s="8">
        <f t="shared" si="2"/>
        <v>39647.173341059999</v>
      </c>
      <c r="G34" s="8">
        <f>IF($B$18&gt;5,-PMT($B$16/12,$B$18*12,$B$22)*12,0)</f>
        <v>29451.279583845222</v>
      </c>
      <c r="H34" s="8">
        <f t="shared" si="1"/>
        <v>5506.5518529250012</v>
      </c>
      <c r="I34" s="31">
        <f t="shared" si="0"/>
        <v>4689.3419042897758</v>
      </c>
      <c r="J34" s="32"/>
    </row>
    <row r="35" spans="1:10" ht="14.25" customHeight="1" x14ac:dyDescent="0.25">
      <c r="A35" s="21" t="s">
        <v>12</v>
      </c>
      <c r="B35" s="16">
        <f>C35/12</f>
        <v>125</v>
      </c>
      <c r="C35" s="17">
        <f>G24</f>
        <v>1500</v>
      </c>
      <c r="D35" s="7"/>
      <c r="E35" s="11">
        <v>7</v>
      </c>
      <c r="F35" s="8">
        <f t="shared" si="2"/>
        <v>40836.5885412918</v>
      </c>
      <c r="G35" s="8">
        <f>IF($B$18&gt;6,-PMT($B$16/12,$B$18*12,$B$22)*12,0)</f>
        <v>29451.279583845222</v>
      </c>
      <c r="H35" s="8">
        <f t="shared" si="1"/>
        <v>5671.7484085127517</v>
      </c>
      <c r="I35" s="31">
        <f t="shared" si="0"/>
        <v>5713.5605489338259</v>
      </c>
      <c r="J35" s="32"/>
    </row>
    <row r="36" spans="1:10" ht="14.25" customHeight="1" x14ac:dyDescent="0.25">
      <c r="A36" s="26" t="s">
        <v>31</v>
      </c>
      <c r="B36" s="27">
        <f>B29-SUM(B30:B35)</f>
        <v>-0.1066319871019914</v>
      </c>
      <c r="C36" s="28">
        <f>C29-SUM(C30:C35)</f>
        <v>-1.2795838452220778</v>
      </c>
      <c r="D36" s="2"/>
      <c r="E36" s="11">
        <v>8</v>
      </c>
      <c r="F36" s="8">
        <f t="shared" si="2"/>
        <v>42061.686197530558</v>
      </c>
      <c r="G36" s="8">
        <f>IF($B$18&gt;7,-PMT($B$16/12,$B$18*12,$B$22)*12,0)</f>
        <v>29451.279583845222</v>
      </c>
      <c r="H36" s="8">
        <f t="shared" si="1"/>
        <v>5841.9008607681344</v>
      </c>
      <c r="I36" s="31">
        <f t="shared" si="0"/>
        <v>6768.5057529172018</v>
      </c>
      <c r="J36" s="32"/>
    </row>
    <row r="37" spans="1:10" ht="14.25" customHeight="1" x14ac:dyDescent="0.25">
      <c r="A37" s="21"/>
      <c r="B37" s="2"/>
      <c r="C37" s="2"/>
      <c r="D37" s="2"/>
      <c r="E37" s="11">
        <v>9</v>
      </c>
      <c r="F37" s="8">
        <f t="shared" si="2"/>
        <v>43323.536783456475</v>
      </c>
      <c r="G37" s="8">
        <f>IF($B$18&gt;8,-PMT($B$16/12,$B$18*12,$B$22)*12,0)</f>
        <v>29451.279583845222</v>
      </c>
      <c r="H37" s="8">
        <f t="shared" si="1"/>
        <v>6017.1578865911788</v>
      </c>
      <c r="I37" s="31">
        <f t="shared" si="0"/>
        <v>7855.0993130200741</v>
      </c>
      <c r="J37" s="32"/>
    </row>
    <row r="38" spans="1:10" ht="14.25" customHeight="1" x14ac:dyDescent="0.25">
      <c r="A38" s="21"/>
      <c r="B38" s="2"/>
      <c r="C38" s="2"/>
      <c r="D38" s="2"/>
      <c r="E38" s="11">
        <v>10</v>
      </c>
      <c r="F38" s="8">
        <f t="shared" si="2"/>
        <v>44623.242886960172</v>
      </c>
      <c r="G38" s="8">
        <f>IF($B$18&gt;9,-PMT($B$16/12,$B$18*12,$B$22)*12,0)</f>
        <v>29451.279583845222</v>
      </c>
      <c r="H38" s="8">
        <f t="shared" si="1"/>
        <v>6197.6726231889143</v>
      </c>
      <c r="I38" s="31">
        <f t="shared" si="0"/>
        <v>8974.2906799260345</v>
      </c>
      <c r="J38" s="32"/>
    </row>
    <row r="39" spans="1:10" ht="14.25" customHeight="1" x14ac:dyDescent="0.25">
      <c r="A39" s="21"/>
      <c r="B39" s="2"/>
      <c r="C39" s="2"/>
      <c r="D39" s="2"/>
      <c r="E39" s="11">
        <v>11</v>
      </c>
      <c r="F39" s="8">
        <f t="shared" si="2"/>
        <v>45961.940173568975</v>
      </c>
      <c r="G39" s="8">
        <f>IF($B$18&gt;10,-PMT($B$16/12,$B$18*12,$B$22)*12,0)</f>
        <v>29451.279583845222</v>
      </c>
      <c r="H39" s="8">
        <f t="shared" si="1"/>
        <v>6383.6028018845818</v>
      </c>
      <c r="I39" s="31">
        <f t="shared" si="0"/>
        <v>10127.05778783917</v>
      </c>
      <c r="J39" s="32"/>
    </row>
    <row r="40" spans="1:10" ht="14.25" customHeight="1" x14ac:dyDescent="0.25">
      <c r="A40" s="21"/>
      <c r="B40" s="2"/>
      <c r="C40" s="2"/>
      <c r="D40" s="2"/>
      <c r="E40" s="11">
        <v>12</v>
      </c>
      <c r="F40" s="8">
        <f t="shared" si="2"/>
        <v>47340.798378776046</v>
      </c>
      <c r="G40" s="8">
        <f>IF($B$18&gt;11,-PMT($B$16/12,$B$18*12,$B$22)*12,0)</f>
        <v>29451.279583845222</v>
      </c>
      <c r="H40" s="8">
        <f t="shared" si="1"/>
        <v>6575.1108859411197</v>
      </c>
      <c r="I40" s="31">
        <f t="shared" si="0"/>
        <v>11314.407908989704</v>
      </c>
      <c r="J40" s="32"/>
    </row>
    <row r="41" spans="1:10" ht="14.25" customHeight="1" x14ac:dyDescent="0.25">
      <c r="A41" s="21"/>
      <c r="B41" s="2"/>
      <c r="C41" s="2"/>
      <c r="D41" s="2"/>
      <c r="E41" s="11">
        <v>13</v>
      </c>
      <c r="F41" s="8">
        <f t="shared" si="2"/>
        <v>48761.022330139327</v>
      </c>
      <c r="G41" s="8">
        <f>IF($B$18&gt;12,-PMT($B$16/12,$B$18*12,$B$22)*12,0)</f>
        <v>29451.279583845222</v>
      </c>
      <c r="H41" s="8">
        <f t="shared" si="1"/>
        <v>6772.3642125193537</v>
      </c>
      <c r="I41" s="31">
        <f t="shared" si="0"/>
        <v>12537.37853377475</v>
      </c>
      <c r="J41" s="32"/>
    </row>
    <row r="42" spans="1:10" ht="14.25" customHeight="1" x14ac:dyDescent="0.25">
      <c r="A42" s="21"/>
      <c r="B42" s="2"/>
      <c r="C42" s="2"/>
      <c r="D42" s="2"/>
      <c r="E42" s="11">
        <v>14</v>
      </c>
      <c r="F42" s="8">
        <f t="shared" si="2"/>
        <v>50223.853000043506</v>
      </c>
      <c r="G42" s="8">
        <f>IF($B$18&gt;13,-PMT($B$16/12,$B$18*12,$B$22)*12,0)</f>
        <v>29451.279583845222</v>
      </c>
      <c r="H42" s="8">
        <f t="shared" si="1"/>
        <v>6975.5351388949348</v>
      </c>
      <c r="I42" s="31">
        <f t="shared" si="0"/>
        <v>13797.038277303349</v>
      </c>
      <c r="J42" s="32"/>
    </row>
    <row r="43" spans="1:10" ht="14.25" customHeight="1" x14ac:dyDescent="0.25">
      <c r="A43" s="21"/>
      <c r="B43" s="2"/>
      <c r="C43" s="2"/>
      <c r="D43" s="2"/>
      <c r="E43" s="11">
        <v>15</v>
      </c>
      <c r="F43" s="8">
        <f t="shared" si="2"/>
        <v>51730.568590044815</v>
      </c>
      <c r="G43" s="8">
        <f>IF($B$18&gt;14,-PMT($B$16/12,$B$18*12,$B$22)*12,0)</f>
        <v>29451.279583845222</v>
      </c>
      <c r="H43" s="8">
        <f t="shared" si="1"/>
        <v>7184.8011930617831</v>
      </c>
      <c r="I43" s="31">
        <f t="shared" si="0"/>
        <v>15094.48781313781</v>
      </c>
      <c r="J43" s="32"/>
    </row>
    <row r="44" spans="1:10" ht="14.25" customHeight="1" x14ac:dyDescent="0.25">
      <c r="A44" s="21"/>
      <c r="B44" s="2"/>
      <c r="C44" s="2"/>
      <c r="D44" s="2"/>
      <c r="E44" s="11">
        <v>16</v>
      </c>
      <c r="F44" s="8">
        <f t="shared" si="2"/>
        <v>53282.485647746158</v>
      </c>
      <c r="G44" s="8">
        <f>IF($B$18&gt;15,-PMT($B$16/12,$B$18*12,$B$22)*12,0)</f>
        <v>29451.279583845222</v>
      </c>
      <c r="H44" s="8">
        <f t="shared" si="1"/>
        <v>7400.3452288536364</v>
      </c>
      <c r="I44" s="31">
        <f t="shared" si="0"/>
        <v>16430.8608350473</v>
      </c>
      <c r="J44" s="32"/>
    </row>
    <row r="45" spans="1:10" ht="14.25" customHeight="1" x14ac:dyDescent="0.25">
      <c r="A45" s="2"/>
      <c r="B45" s="2"/>
      <c r="C45" s="2"/>
      <c r="D45" s="2"/>
      <c r="E45" s="11">
        <v>17</v>
      </c>
      <c r="F45" s="8">
        <f t="shared" si="2"/>
        <v>54880.960217178545</v>
      </c>
      <c r="G45" s="8">
        <f>IF($B$18&gt;16,-PMT($B$16/12,$B$18*12,$B$22)*12,0)</f>
        <v>29451.279583845222</v>
      </c>
      <c r="H45" s="8">
        <f t="shared" si="1"/>
        <v>7622.3555857192459</v>
      </c>
      <c r="I45" s="31">
        <f t="shared" si="0"/>
        <v>17807.325047614075</v>
      </c>
      <c r="J45" s="32"/>
    </row>
    <row r="46" spans="1:10" ht="14.25" customHeight="1" x14ac:dyDescent="0.25">
      <c r="A46" s="2"/>
      <c r="B46" s="2"/>
      <c r="C46" s="2"/>
      <c r="D46" s="2"/>
      <c r="E46" s="11">
        <v>18</v>
      </c>
      <c r="F46" s="8">
        <f t="shared" si="2"/>
        <v>56527.389023693904</v>
      </c>
      <c r="G46" s="8">
        <f>IF($B$18&gt;17,-PMT($B$16/12,$B$18*12,$B$22)*12,0)</f>
        <v>29451.279583845222</v>
      </c>
      <c r="H46" s="8">
        <f t="shared" si="1"/>
        <v>7851.0262532908237</v>
      </c>
      <c r="I46" s="31">
        <f t="shared" si="0"/>
        <v>19225.083186557858</v>
      </c>
      <c r="J46" s="32"/>
    </row>
    <row r="47" spans="1:10" ht="14.25" customHeight="1" x14ac:dyDescent="0.25">
      <c r="A47" s="2"/>
      <c r="B47" s="2"/>
      <c r="C47" s="2"/>
      <c r="D47" s="2"/>
      <c r="E47" s="11">
        <v>19</v>
      </c>
      <c r="F47" s="8">
        <f t="shared" si="2"/>
        <v>58223.210694404726</v>
      </c>
      <c r="G47" s="8">
        <f>IF($B$18&gt;18,-PMT($B$16/12,$B$18*12,$B$22)*12,0)</f>
        <v>29451.279583845222</v>
      </c>
      <c r="H47" s="8">
        <f t="shared" si="1"/>
        <v>8086.5570408895483</v>
      </c>
      <c r="I47" s="31">
        <f t="shared" si="0"/>
        <v>20685.374069669957</v>
      </c>
      <c r="J47" s="32"/>
    </row>
    <row r="48" spans="1:10" ht="14.25" customHeight="1" x14ac:dyDescent="0.25">
      <c r="A48" s="2"/>
      <c r="B48" s="2"/>
      <c r="C48" s="2"/>
      <c r="D48" s="2"/>
      <c r="E48" s="11">
        <v>20</v>
      </c>
      <c r="F48" s="8">
        <f t="shared" si="2"/>
        <v>59969.907015236873</v>
      </c>
      <c r="G48" s="8">
        <f>IF($B$18&gt;19,-PMT($B$16/12,$B$18*12,$B$22)*12,0)</f>
        <v>29451.279583845222</v>
      </c>
      <c r="H48" s="8">
        <f t="shared" si="1"/>
        <v>8329.1537521162354</v>
      </c>
      <c r="I48" s="31">
        <f t="shared" si="0"/>
        <v>22189.473679275416</v>
      </c>
      <c r="J48" s="32"/>
    </row>
    <row r="49" spans="1:10" ht="14.25" customHeight="1" x14ac:dyDescent="0.25">
      <c r="A49" s="2"/>
      <c r="B49" s="2"/>
      <c r="C49" s="2"/>
      <c r="D49" s="2"/>
      <c r="E49" s="11">
        <v>21</v>
      </c>
      <c r="F49" s="8">
        <f t="shared" si="2"/>
        <v>61769.004225693978</v>
      </c>
      <c r="G49" s="8">
        <f>IF($B$18&gt;20,-PMT($B$16/12,$B$18*12,$B$22)*12,0)</f>
        <v>29451.279583845222</v>
      </c>
      <c r="H49" s="8">
        <f t="shared" si="1"/>
        <v>8579.0283646797234</v>
      </c>
      <c r="I49" s="31">
        <f t="shared" si="0"/>
        <v>23738.696277169031</v>
      </c>
      <c r="J49" s="32"/>
    </row>
    <row r="50" spans="1:10" ht="14.25" customHeight="1" x14ac:dyDescent="0.25">
      <c r="A50" s="2"/>
      <c r="B50" s="2"/>
      <c r="C50" s="2"/>
      <c r="D50" s="2"/>
      <c r="E50" s="11">
        <v>22</v>
      </c>
      <c r="F50" s="8">
        <f t="shared" si="2"/>
        <v>63622.074352464799</v>
      </c>
      <c r="G50" s="8">
        <f>IF($B$18&gt;21,-PMT($B$16/12,$B$18*12,$B$22)*12,0)</f>
        <v>29451.279583845222</v>
      </c>
      <c r="H50" s="8">
        <f t="shared" si="1"/>
        <v>8836.3992156201148</v>
      </c>
      <c r="I50" s="31">
        <f t="shared" si="0"/>
        <v>25334.395552999464</v>
      </c>
      <c r="J50" s="32"/>
    </row>
    <row r="51" spans="1:10" ht="14.25" customHeight="1" x14ac:dyDescent="0.25">
      <c r="A51" s="2"/>
      <c r="B51" s="2"/>
      <c r="C51" s="2"/>
      <c r="D51" s="2"/>
      <c r="E51" s="11">
        <v>23</v>
      </c>
      <c r="F51" s="8">
        <f t="shared" si="2"/>
        <v>65530.736583038743</v>
      </c>
      <c r="G51" s="8">
        <f>IF($B$18&gt;22,-PMT($B$16/12,$B$18*12,$B$22)*12,0)</f>
        <v>29451.279583845222</v>
      </c>
      <c r="H51" s="8">
        <f t="shared" si="1"/>
        <v>9101.4911920887189</v>
      </c>
      <c r="I51" s="31">
        <f t="shared" si="0"/>
        <v>26977.965807104803</v>
      </c>
      <c r="J51" s="32"/>
    </row>
    <row r="52" spans="1:10" ht="14.25" customHeight="1" x14ac:dyDescent="0.25">
      <c r="A52" s="2"/>
      <c r="B52" s="2"/>
      <c r="C52" s="2"/>
      <c r="D52" s="2"/>
      <c r="E52" s="11">
        <v>24</v>
      </c>
      <c r="F52" s="8">
        <f t="shared" si="2"/>
        <v>67496.658680529901</v>
      </c>
      <c r="G52" s="8">
        <f>IF($B$18&gt;23,-PMT($B$16/12,$B$18*12,$B$22)*12,0)</f>
        <v>29451.279583845222</v>
      </c>
      <c r="H52" s="8">
        <f t="shared" si="1"/>
        <v>9374.5359278513806</v>
      </c>
      <c r="I52" s="31">
        <f t="shared" si="0"/>
        <v>28670.8431688333</v>
      </c>
      <c r="J52" s="32"/>
    </row>
    <row r="53" spans="1:10" ht="14.25" customHeight="1" x14ac:dyDescent="0.25">
      <c r="A53" s="2"/>
      <c r="B53" s="2"/>
      <c r="C53" s="2"/>
      <c r="D53" s="2"/>
      <c r="E53" s="11">
        <v>25</v>
      </c>
      <c r="F53" s="8">
        <f t="shared" si="2"/>
        <v>69521.558440945795</v>
      </c>
      <c r="G53" s="8">
        <f>IF($B$18&gt;24,-PMT($B$16/12,$B$18*12,$B$22)*12,0)</f>
        <v>29451.279583845222</v>
      </c>
      <c r="H53" s="8">
        <f t="shared" si="1"/>
        <v>9655.7720056869221</v>
      </c>
      <c r="I53" s="31">
        <f t="shared" si="0"/>
        <v>30414.506851413651</v>
      </c>
      <c r="J53" s="32"/>
    </row>
    <row r="54" spans="1:10" ht="14.25" customHeight="1" x14ac:dyDescent="0.25">
      <c r="A54" s="2"/>
      <c r="B54" s="2"/>
      <c r="C54" s="2"/>
      <c r="D54" s="2"/>
      <c r="E54" s="11">
        <v>26</v>
      </c>
      <c r="F54" s="8">
        <f t="shared" si="2"/>
        <v>71607.205194174167</v>
      </c>
      <c r="G54" s="8">
        <f>IF($B$18&gt;25,-PMT($B$16/12,$B$18*12,$B$22)*12,0)</f>
        <v>29451.279583845222</v>
      </c>
      <c r="H54" s="8">
        <f t="shared" si="1"/>
        <v>9945.4451658575308</v>
      </c>
      <c r="I54" s="31">
        <f t="shared" si="0"/>
        <v>32210.480444471414</v>
      </c>
      <c r="J54" s="32"/>
    </row>
    <row r="55" spans="1:10" ht="14.25" customHeight="1" x14ac:dyDescent="0.25">
      <c r="A55" s="2"/>
      <c r="B55" s="2"/>
      <c r="C55" s="2"/>
      <c r="D55" s="2"/>
      <c r="E55" s="11">
        <v>27</v>
      </c>
      <c r="F55" s="8">
        <f t="shared" si="2"/>
        <v>73755.421349999393</v>
      </c>
      <c r="G55" s="8">
        <f>IF($B$18&gt;26,-PMT($B$16/12,$B$18*12,$B$22)*12,0)</f>
        <v>29451.279583845222</v>
      </c>
      <c r="H55" s="8">
        <f t="shared" si="1"/>
        <v>10243.808520833258</v>
      </c>
      <c r="I55" s="31">
        <f t="shared" si="0"/>
        <v>34060.333245320915</v>
      </c>
      <c r="J55" s="32"/>
    </row>
    <row r="56" spans="1:10" ht="14.25" customHeight="1" x14ac:dyDescent="0.25">
      <c r="A56" s="2"/>
      <c r="B56" s="2"/>
      <c r="C56" s="2"/>
      <c r="D56" s="2"/>
      <c r="E56" s="11">
        <v>28</v>
      </c>
      <c r="F56" s="8">
        <f t="shared" si="2"/>
        <v>75968.083990499377</v>
      </c>
      <c r="G56" s="8">
        <f>IF($B$18&gt;27,-PMT($B$16/12,$B$18*12,$B$22)*12,0)</f>
        <v>29451.279583845222</v>
      </c>
      <c r="H56" s="8">
        <f t="shared" si="1"/>
        <v>10551.122776458256</v>
      </c>
      <c r="I56" s="31">
        <f t="shared" si="0"/>
        <v>35965.681630195897</v>
      </c>
      <c r="J56" s="32"/>
    </row>
    <row r="57" spans="1:10" ht="14.25" customHeight="1" x14ac:dyDescent="0.25">
      <c r="A57" s="2"/>
      <c r="B57" s="2"/>
      <c r="C57" s="2"/>
      <c r="D57" s="2"/>
      <c r="E57" s="11">
        <v>29</v>
      </c>
      <c r="F57" s="8">
        <f t="shared" si="2"/>
        <v>78247.126510214366</v>
      </c>
      <c r="G57" s="8">
        <f>IF($B$18&gt;28,-PMT($B$16/12,$B$18*12,$B$22)*12,0)</f>
        <v>29451.279583845222</v>
      </c>
      <c r="H57" s="8">
        <f t="shared" si="1"/>
        <v>10867.656459752005</v>
      </c>
      <c r="I57" s="31">
        <f t="shared" si="0"/>
        <v>37928.190466617139</v>
      </c>
      <c r="J57" s="32"/>
    </row>
    <row r="58" spans="1:10" x14ac:dyDescent="0.25">
      <c r="A58" s="2"/>
      <c r="B58" s="2"/>
      <c r="C58" s="2"/>
      <c r="D58" s="2"/>
      <c r="E58" s="11">
        <v>30</v>
      </c>
      <c r="F58" s="8">
        <f t="shared" si="2"/>
        <v>80594.540305520801</v>
      </c>
      <c r="G58" s="8">
        <f>IF($B$18&gt;29,-PMT($B$16/12,$B$18*12,$B$22)*12,0)</f>
        <v>29451.279583845222</v>
      </c>
      <c r="H58" s="8">
        <f t="shared" si="1"/>
        <v>11193.686153544564</v>
      </c>
      <c r="I58" s="31">
        <f t="shared" si="0"/>
        <v>39949.574568131015</v>
      </c>
      <c r="J58" s="32"/>
    </row>
    <row r="59" spans="1:10" x14ac:dyDescent="0.25">
      <c r="A59" s="2"/>
      <c r="B59" s="2"/>
      <c r="C59" s="2"/>
      <c r="D59" s="2"/>
      <c r="E59" s="12" t="s">
        <v>30</v>
      </c>
      <c r="F59" s="13">
        <f>SUM(F29:F58)</f>
        <v>1627079.2171562132</v>
      </c>
      <c r="G59" s="13">
        <f>SUM(G29:G58)</f>
        <v>883538.38751535607</v>
      </c>
      <c r="H59" s="13">
        <f>SUM(H29:H58)</f>
        <v>225983.22460502974</v>
      </c>
      <c r="I59" s="33">
        <f>SUM(I29:J58)</f>
        <v>517557.60503582674</v>
      </c>
      <c r="J59" s="34"/>
    </row>
  </sheetData>
  <sheetProtection algorithmName="SHA-512" hashValue="nBGuZT63WEe+TWdErYWFNTn22vZJdWHrN5QDoTAnacCVssugPYWU+OgMHEYCYYBGq2neB1SOn8JtjApI4Er+gA==" saltValue="PXok+QqWzYlPhlsF715ssA==" spinCount="100000" sheet="1" objects="1" scenarios="1"/>
  <mergeCells count="35">
    <mergeCell ref="A6:J6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43:J43"/>
    <mergeCell ref="I44:J44"/>
    <mergeCell ref="I45:J45"/>
    <mergeCell ref="I46:J46"/>
    <mergeCell ref="I37:J37"/>
    <mergeCell ref="I38:J38"/>
    <mergeCell ref="I39:J39"/>
    <mergeCell ref="I40:J40"/>
    <mergeCell ref="I41:J41"/>
    <mergeCell ref="I57:J57"/>
    <mergeCell ref="I58:J58"/>
    <mergeCell ref="I59:J59"/>
    <mergeCell ref="I10:J10"/>
    <mergeCell ref="B8:J8"/>
    <mergeCell ref="I52:J52"/>
    <mergeCell ref="I53:J53"/>
    <mergeCell ref="I54:J54"/>
    <mergeCell ref="I55:J55"/>
    <mergeCell ref="I56:J56"/>
    <mergeCell ref="I47:J47"/>
    <mergeCell ref="I48:J48"/>
    <mergeCell ref="I49:J49"/>
    <mergeCell ref="I50:J50"/>
    <mergeCell ref="I51:J51"/>
    <mergeCell ref="I42:J42"/>
  </mergeCells>
  <pageMargins left="0.25" right="0.25" top="0.25" bottom="0.75" header="0.3" footer="0.3"/>
  <pageSetup orientation="portrait" r:id="rId1"/>
  <headerFooter>
    <oddFooter xml:space="preserve">&amp;L*This calculator is provided as a tool when developing the hangar business plan. This format is not required but may be used if the airport chooses.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Lund, Nels C.</dc:creator>
  <cp:lastModifiedBy>Lund, Nels C.</cp:lastModifiedBy>
  <cp:lastPrinted>2022-01-18T19:54:19Z</cp:lastPrinted>
  <dcterms:created xsi:type="dcterms:W3CDTF">2022-01-13T20:46:26Z</dcterms:created>
  <dcterms:modified xsi:type="dcterms:W3CDTF">2022-01-19T17:57:11Z</dcterms:modified>
</cp:coreProperties>
</file>